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9440" windowHeight="12240"/>
  </bookViews>
  <sheets>
    <sheet name="DistrictPopTotals" sheetId="1" r:id="rId1"/>
    <sheet name="DistrictPopStatisticts" sheetId="3" r:id="rId2"/>
    <sheet name="RaceDistributions" sheetId="4" r:id="rId3"/>
  </sheets>
  <calcPr calcId="125725"/>
</workbook>
</file>

<file path=xl/calcChain.xml><?xml version="1.0" encoding="utf-8"?>
<calcChain xmlns="http://schemas.openxmlformats.org/spreadsheetml/2006/main">
  <c r="H4" i="4"/>
  <c r="H5"/>
  <c r="H6"/>
  <c r="H7"/>
  <c r="H8"/>
  <c r="H9"/>
  <c r="H10"/>
  <c r="K10"/>
  <c r="H11"/>
  <c r="K11"/>
  <c r="H14"/>
  <c r="H15"/>
  <c r="H16"/>
  <c r="H17"/>
  <c r="H18"/>
  <c r="H19"/>
  <c r="H20"/>
  <c r="K20"/>
  <c r="H21"/>
  <c r="K21"/>
  <c r="H24"/>
  <c r="H25"/>
  <c r="H26"/>
  <c r="H27"/>
  <c r="H28"/>
  <c r="H29"/>
  <c r="H30"/>
  <c r="K30"/>
  <c r="H31"/>
  <c r="K31"/>
  <c r="W20"/>
  <c r="W21" s="1"/>
  <c r="T20"/>
  <c r="T19"/>
  <c r="T18"/>
  <c r="T17"/>
  <c r="T16"/>
  <c r="T15"/>
  <c r="T14"/>
  <c r="T21" s="1"/>
  <c r="W10"/>
  <c r="W11" s="1"/>
  <c r="T10"/>
  <c r="T9"/>
  <c r="T8"/>
  <c r="T7"/>
  <c r="T6"/>
  <c r="T5"/>
  <c r="T4"/>
  <c r="T11" s="1"/>
  <c r="Q30"/>
  <c r="Q31" s="1"/>
  <c r="N30"/>
  <c r="E30"/>
  <c r="E31" s="1"/>
  <c r="B30"/>
  <c r="N29"/>
  <c r="B29"/>
  <c r="N28"/>
  <c r="B28"/>
  <c r="N27"/>
  <c r="B27"/>
  <c r="N26"/>
  <c r="B26"/>
  <c r="N25"/>
  <c r="B25"/>
  <c r="N24"/>
  <c r="N31" s="1"/>
  <c r="B24"/>
  <c r="B31" s="1"/>
  <c r="Q20"/>
  <c r="Q21" s="1"/>
  <c r="N20"/>
  <c r="E20"/>
  <c r="E21" s="1"/>
  <c r="B20"/>
  <c r="N19"/>
  <c r="B19"/>
  <c r="N18"/>
  <c r="B18"/>
  <c r="N17"/>
  <c r="B17"/>
  <c r="N16"/>
  <c r="B16"/>
  <c r="N15"/>
  <c r="B15"/>
  <c r="N14"/>
  <c r="N21" s="1"/>
  <c r="B14"/>
  <c r="B21" s="1"/>
  <c r="Q10"/>
  <c r="Q11" s="1"/>
  <c r="N10"/>
  <c r="E10"/>
  <c r="E11" s="1"/>
  <c r="B10"/>
  <c r="N9"/>
  <c r="B9"/>
  <c r="N8"/>
  <c r="B8"/>
  <c r="N7"/>
  <c r="B7"/>
  <c r="N6"/>
  <c r="B6"/>
  <c r="N5"/>
  <c r="B5"/>
  <c r="N4"/>
  <c r="B4"/>
  <c r="B11" s="1"/>
  <c r="S20" i="1"/>
  <c r="S6"/>
  <c r="B6" i="3" s="1"/>
  <c r="N19" i="1"/>
  <c r="N12"/>
  <c r="N6"/>
  <c r="I15"/>
  <c r="I9"/>
  <c r="C19"/>
  <c r="D21" s="1"/>
  <c r="B5" i="3" s="1"/>
  <c r="D15" i="1"/>
  <c r="D5"/>
  <c r="N11" i="4" l="1"/>
  <c r="B7" i="3"/>
</calcChain>
</file>

<file path=xl/sharedStrings.xml><?xml version="1.0" encoding="utf-8"?>
<sst xmlns="http://schemas.openxmlformats.org/spreadsheetml/2006/main" count="203" uniqueCount="71">
  <si>
    <t>Proposed District # 1</t>
  </si>
  <si>
    <t>Corresponding Population</t>
  </si>
  <si>
    <t>Total Population</t>
  </si>
  <si>
    <t>Proposed District Statistics</t>
  </si>
  <si>
    <t>Total Population of Erie County</t>
  </si>
  <si>
    <t>City of Buffalo*</t>
  </si>
  <si>
    <t>District with Highest Population:</t>
  </si>
  <si>
    <t>Town of Tonawanda*</t>
  </si>
  <si>
    <t>District with Lowest Population:</t>
  </si>
  <si>
    <t>Percent of Highest Population (of total pop)</t>
  </si>
  <si>
    <t>Percent of Lowest Population (of total pop)</t>
  </si>
  <si>
    <t>Proposed District # 2</t>
  </si>
  <si>
    <t>Percent Deviation</t>
  </si>
  <si>
    <t>Boston</t>
  </si>
  <si>
    <t>Brant</t>
  </si>
  <si>
    <t>Amherst</t>
  </si>
  <si>
    <t>Eden</t>
  </si>
  <si>
    <t>City of Buffalo</t>
  </si>
  <si>
    <t>Evans</t>
  </si>
  <si>
    <t>Cheektowaga</t>
  </si>
  <si>
    <t>Hamburg*</t>
  </si>
  <si>
    <t>Clarence</t>
  </si>
  <si>
    <t>North Collins</t>
  </si>
  <si>
    <t>Hamburg</t>
  </si>
  <si>
    <t>Town of Tonawanda</t>
  </si>
  <si>
    <t>Proposed District # 3</t>
  </si>
  <si>
    <t>Race/Ethnic population percentages</t>
  </si>
  <si>
    <t>Proposed District # 7</t>
  </si>
  <si>
    <t>Cheektowaga*</t>
  </si>
  <si>
    <t>White</t>
  </si>
  <si>
    <t># Totals:</t>
  </si>
  <si>
    <t>Black or African American</t>
  </si>
  <si>
    <t>American Indian and Alaska Native</t>
  </si>
  <si>
    <t>Proposed District # 4</t>
  </si>
  <si>
    <t>Asian</t>
  </si>
  <si>
    <t>Native Hawaiian and other Pacific Islander</t>
  </si>
  <si>
    <t>Alden</t>
  </si>
  <si>
    <t>Hispanic or Latino</t>
  </si>
  <si>
    <t>Clarence*</t>
  </si>
  <si>
    <t xml:space="preserve">Other </t>
  </si>
  <si>
    <t>Lancaster</t>
  </si>
  <si>
    <t>Total</t>
  </si>
  <si>
    <t>Marilla</t>
  </si>
  <si>
    <t>Newstead</t>
  </si>
  <si>
    <t>Proposed District # 8</t>
  </si>
  <si>
    <t>Tonawanda Indian Res.</t>
  </si>
  <si>
    <t>Proposed District # 5</t>
  </si>
  <si>
    <t>Amherst*</t>
  </si>
  <si>
    <t>Proposed District # 6</t>
  </si>
  <si>
    <t>Proposed District # 9</t>
  </si>
  <si>
    <t>Proposed District # 10</t>
  </si>
  <si>
    <t>Proposed District # 11</t>
  </si>
  <si>
    <t>Lakawana</t>
  </si>
  <si>
    <t>West Seneca</t>
  </si>
  <si>
    <t>Grand Island</t>
  </si>
  <si>
    <t>City of Tonawanda</t>
  </si>
  <si>
    <t>Aurora</t>
  </si>
  <si>
    <t>Cattaraugus</t>
  </si>
  <si>
    <t>Colden</t>
  </si>
  <si>
    <t>Collins</t>
  </si>
  <si>
    <t>Concord</t>
  </si>
  <si>
    <t>Elma</t>
  </si>
  <si>
    <t>Holland</t>
  </si>
  <si>
    <t>Sardinia</t>
  </si>
  <si>
    <t>Orchard Park</t>
  </si>
  <si>
    <t>Wales</t>
  </si>
  <si>
    <t>See tabbed spreedsheet pages for Statistics and Race/Ethnicity distributions.</t>
  </si>
  <si>
    <t xml:space="preserve">Dist. #3 with population of 85,757 </t>
  </si>
  <si>
    <t>Dist. #10 with population of 80,646</t>
  </si>
  <si>
    <t>*Denotes municipalities that will be divided into multiple districts.</t>
  </si>
  <si>
    <t>*Municipalities to be devided by multiple districts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</si>
</sst>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538F45"/>
        <bgColor indexed="64"/>
      </patternFill>
    </fill>
    <fill>
      <patternFill patternType="solid">
        <fgColor rgb="FF857F4E"/>
        <bgColor indexed="64"/>
      </patternFill>
    </fill>
    <fill>
      <patternFill patternType="solid">
        <fgColor rgb="FFFFD37F"/>
        <bgColor indexed="64"/>
      </patternFill>
    </fill>
    <fill>
      <patternFill patternType="solid">
        <fgColor rgb="FFC25846"/>
        <bgColor indexed="64"/>
      </patternFill>
    </fill>
    <fill>
      <patternFill patternType="solid">
        <fgColor rgb="FFE64C00"/>
        <bgColor indexed="64"/>
      </patternFill>
    </fill>
    <fill>
      <patternFill patternType="solid">
        <fgColor rgb="FF4C5987"/>
        <bgColor indexed="64"/>
      </patternFill>
    </fill>
    <fill>
      <patternFill patternType="solid">
        <fgColor rgb="FF4AD456"/>
        <bgColor indexed="64"/>
      </patternFill>
    </fill>
    <fill>
      <patternFill patternType="solid">
        <fgColor rgb="FFF27ECD"/>
        <bgColor indexed="64"/>
      </patternFill>
    </fill>
    <fill>
      <patternFill patternType="solid">
        <fgColor rgb="FF8400A8"/>
        <bgColor indexed="64"/>
      </patternFill>
    </fill>
    <fill>
      <patternFill patternType="solid">
        <fgColor rgb="FF96B1FA"/>
        <bgColor indexed="64"/>
      </patternFill>
    </fill>
    <fill>
      <patternFill patternType="solid">
        <fgColor rgb="FF78CFB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10" fontId="0" fillId="0" borderId="0" xfId="0" applyNumberFormat="1"/>
    <xf numFmtId="0" fontId="0" fillId="0" borderId="0" xfId="0" applyFill="1"/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0" applyNumberFormat="1"/>
    <xf numFmtId="9" fontId="0" fillId="0" borderId="1" xfId="0" applyNumberFormat="1" applyBorder="1"/>
    <xf numFmtId="0" fontId="1" fillId="3" borderId="2" xfId="0" applyFont="1" applyFill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1" fillId="0" borderId="0" xfId="0" applyFont="1"/>
    <xf numFmtId="0" fontId="0" fillId="5" borderId="0" xfId="0" applyFill="1"/>
    <xf numFmtId="49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/>
    <xf numFmtId="49" fontId="0" fillId="6" borderId="0" xfId="0" applyNumberForma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/>
    <xf numFmtId="49" fontId="0" fillId="7" borderId="0" xfId="0" applyNumberForma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8" borderId="0" xfId="0" applyFill="1"/>
    <xf numFmtId="49" fontId="0" fillId="8" borderId="0" xfId="0" applyNumberFormat="1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9" borderId="0" xfId="0" applyFill="1"/>
    <xf numFmtId="49" fontId="0" fillId="9" borderId="0" xfId="0" applyNumberFormat="1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10" borderId="0" xfId="0" applyFill="1"/>
    <xf numFmtId="49" fontId="0" fillId="10" borderId="0" xfId="0" applyNumberFormat="1" applyFill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1" borderId="0" xfId="0" applyFill="1"/>
    <xf numFmtId="49" fontId="0" fillId="11" borderId="0" xfId="0" applyNumberFormat="1" applyFill="1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12" borderId="0" xfId="0" applyFill="1"/>
    <xf numFmtId="49" fontId="0" fillId="12" borderId="0" xfId="0" applyNumberFormat="1" applyFill="1" applyAlignment="1">
      <alignment horizontal="center" wrapText="1"/>
    </xf>
    <xf numFmtId="0" fontId="0" fillId="12" borderId="0" xfId="0" applyFill="1" applyAlignment="1">
      <alignment horizontal="center" wrapText="1"/>
    </xf>
    <xf numFmtId="0" fontId="0" fillId="13" borderId="0" xfId="0" applyFill="1"/>
    <xf numFmtId="49" fontId="0" fillId="13" borderId="0" xfId="0" applyNumberFormat="1" applyFill="1" applyAlignment="1">
      <alignment horizontal="center" wrapText="1"/>
    </xf>
    <xf numFmtId="0" fontId="0" fillId="13" borderId="0" xfId="0" applyFill="1" applyAlignment="1">
      <alignment horizontal="center" wrapText="1"/>
    </xf>
    <xf numFmtId="0" fontId="0" fillId="14" borderId="0" xfId="0" applyFill="1"/>
    <xf numFmtId="49" fontId="0" fillId="14" borderId="0" xfId="0" applyNumberFormat="1" applyFill="1" applyAlignment="1">
      <alignment horizontal="center" wrapText="1"/>
    </xf>
    <xf numFmtId="0" fontId="0" fillId="14" borderId="0" xfId="0" applyFill="1" applyAlignment="1">
      <alignment horizontal="center" wrapText="1"/>
    </xf>
    <xf numFmtId="0" fontId="0" fillId="15" borderId="0" xfId="0" applyFill="1"/>
    <xf numFmtId="49" fontId="0" fillId="15" borderId="0" xfId="0" applyNumberFormat="1" applyFill="1" applyAlignment="1">
      <alignment horizontal="center" wrapText="1"/>
    </xf>
    <xf numFmtId="0" fontId="0" fillId="15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8CFB3"/>
      <color rgb="FF96B1FA"/>
      <color rgb="FF8400A8"/>
      <color rgb="FFF27ECD"/>
      <color rgb="FF4AD456"/>
      <color rgb="FF4C5987"/>
      <color rgb="FFE64C00"/>
      <color rgb="FFC25846"/>
      <color rgb="FFFFD37F"/>
      <color rgb="FF857F4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Normal="100" workbookViewId="0"/>
  </sheetViews>
  <sheetFormatPr defaultRowHeight="15"/>
  <cols>
    <col min="1" max="1" width="20" bestFit="1" customWidth="1"/>
    <col min="2" max="2" width="2.7109375" customWidth="1"/>
    <col min="3" max="3" width="14.28515625" customWidth="1"/>
    <col min="4" max="4" width="11.42578125" customWidth="1"/>
    <col min="6" max="6" width="21.7109375" bestFit="1" customWidth="1"/>
    <col min="7" max="7" width="3" customWidth="1"/>
    <col min="8" max="8" width="14.28515625" customWidth="1"/>
    <col min="9" max="9" width="10.7109375" bestFit="1" customWidth="1"/>
    <col min="10" max="10" width="7.5703125" style="3" bestFit="1" customWidth="1"/>
    <col min="11" max="11" width="20.28515625" bestFit="1" customWidth="1"/>
    <col min="12" max="12" width="3.28515625" customWidth="1"/>
    <col min="13" max="13" width="14.140625" customWidth="1"/>
    <col min="14" max="14" width="10.7109375" bestFit="1" customWidth="1"/>
    <col min="15" max="15" width="8.28515625" bestFit="1" customWidth="1"/>
    <col min="16" max="16" width="20.28515625" style="3" bestFit="1" customWidth="1"/>
    <col min="17" max="17" width="4.28515625" customWidth="1"/>
    <col min="18" max="18" width="14.140625" bestFit="1" customWidth="1"/>
    <col min="19" max="19" width="10.7109375" bestFit="1" customWidth="1"/>
    <col min="20" max="20" width="3.140625" customWidth="1"/>
    <col min="21" max="21" width="27" bestFit="1" customWidth="1"/>
  </cols>
  <sheetData>
    <row r="1" spans="1:21" ht="30">
      <c r="A1" s="16" t="s">
        <v>0</v>
      </c>
      <c r="B1" s="16"/>
      <c r="C1" s="17" t="s">
        <v>1</v>
      </c>
      <c r="D1" s="18" t="s">
        <v>2</v>
      </c>
      <c r="F1" s="25" t="s">
        <v>33</v>
      </c>
      <c r="G1" s="25"/>
      <c r="H1" s="26" t="s">
        <v>1</v>
      </c>
      <c r="I1" s="27" t="s">
        <v>2</v>
      </c>
      <c r="K1" s="34" t="s">
        <v>27</v>
      </c>
      <c r="L1" s="34"/>
      <c r="M1" s="35" t="s">
        <v>1</v>
      </c>
      <c r="N1" s="36" t="s">
        <v>2</v>
      </c>
      <c r="P1" s="43" t="s">
        <v>50</v>
      </c>
      <c r="Q1" s="43"/>
      <c r="R1" s="44" t="s">
        <v>1</v>
      </c>
      <c r="S1" s="45" t="s">
        <v>2</v>
      </c>
      <c r="U1" s="12" t="s">
        <v>70</v>
      </c>
    </row>
    <row r="2" spans="1:21">
      <c r="P2"/>
      <c r="U2" s="13" t="s">
        <v>15</v>
      </c>
    </row>
    <row r="3" spans="1:21">
      <c r="A3" t="s">
        <v>5</v>
      </c>
      <c r="C3" s="3">
        <v>54723</v>
      </c>
      <c r="D3" s="3"/>
      <c r="F3" t="s">
        <v>36</v>
      </c>
      <c r="H3" s="3">
        <v>10865</v>
      </c>
      <c r="I3" s="3"/>
      <c r="K3" t="s">
        <v>47</v>
      </c>
      <c r="M3" s="3">
        <v>66279</v>
      </c>
      <c r="N3" s="3"/>
      <c r="P3" t="s">
        <v>54</v>
      </c>
      <c r="R3" s="3">
        <v>20374</v>
      </c>
      <c r="S3" s="3"/>
      <c r="U3" s="13" t="s">
        <v>17</v>
      </c>
    </row>
    <row r="4" spans="1:21" ht="15.75" thickBot="1">
      <c r="A4" t="s">
        <v>7</v>
      </c>
      <c r="C4" s="4">
        <v>28425</v>
      </c>
      <c r="D4" s="4"/>
      <c r="F4" t="s">
        <v>38</v>
      </c>
      <c r="H4" s="3">
        <v>18147</v>
      </c>
      <c r="I4" s="3"/>
      <c r="K4" t="s">
        <v>28</v>
      </c>
      <c r="M4" s="3">
        <v>2883</v>
      </c>
      <c r="N4" s="3"/>
      <c r="P4" t="s">
        <v>55</v>
      </c>
      <c r="R4" s="3">
        <v>15130</v>
      </c>
      <c r="S4" s="3"/>
      <c r="U4" s="13" t="s">
        <v>19</v>
      </c>
    </row>
    <row r="5" spans="1:21" ht="16.5" thickTop="1" thickBot="1">
      <c r="C5" s="3"/>
      <c r="D5" s="3">
        <f>SUM(C3:C4)</f>
        <v>83148</v>
      </c>
      <c r="F5" t="s">
        <v>40</v>
      </c>
      <c r="H5" s="3">
        <v>41604</v>
      </c>
      <c r="I5" s="3"/>
      <c r="K5" t="s">
        <v>38</v>
      </c>
      <c r="M5" s="4">
        <v>12526</v>
      </c>
      <c r="N5" s="4"/>
      <c r="P5" t="s">
        <v>7</v>
      </c>
      <c r="R5" s="4">
        <v>45142</v>
      </c>
      <c r="S5" s="4"/>
      <c r="U5" s="13" t="s">
        <v>21</v>
      </c>
    </row>
    <row r="6" spans="1:21" ht="15.75" thickTop="1">
      <c r="F6" t="s">
        <v>42</v>
      </c>
      <c r="H6" s="3">
        <v>5327</v>
      </c>
      <c r="I6" s="3"/>
      <c r="M6" s="3"/>
      <c r="N6" s="3">
        <f>SUM(M3:M5)</f>
        <v>81688</v>
      </c>
      <c r="P6"/>
      <c r="R6" s="3"/>
      <c r="S6" s="3">
        <f>SUM(R3:R5)</f>
        <v>80646</v>
      </c>
      <c r="U6" s="13" t="s">
        <v>23</v>
      </c>
    </row>
    <row r="7" spans="1:21" ht="30">
      <c r="A7" s="19" t="s">
        <v>11</v>
      </c>
      <c r="B7" s="19"/>
      <c r="C7" s="20" t="s">
        <v>1</v>
      </c>
      <c r="D7" s="21" t="s">
        <v>2</v>
      </c>
      <c r="F7" t="s">
        <v>43</v>
      </c>
      <c r="H7" s="3">
        <v>8594</v>
      </c>
      <c r="I7" s="3"/>
      <c r="P7"/>
      <c r="U7" s="14" t="s">
        <v>24</v>
      </c>
    </row>
    <row r="8" spans="1:21" ht="30.75" thickBot="1">
      <c r="A8" s="6"/>
      <c r="B8" s="6"/>
      <c r="C8" s="7"/>
      <c r="D8" s="8"/>
      <c r="F8" t="s">
        <v>45</v>
      </c>
      <c r="H8" s="4">
        <v>34</v>
      </c>
      <c r="I8" s="4"/>
      <c r="K8" s="37" t="s">
        <v>44</v>
      </c>
      <c r="L8" s="37"/>
      <c r="M8" s="38" t="s">
        <v>1</v>
      </c>
      <c r="N8" s="39" t="s">
        <v>2</v>
      </c>
      <c r="P8" s="46" t="s">
        <v>51</v>
      </c>
      <c r="Q8" s="46"/>
      <c r="R8" s="47" t="s">
        <v>1</v>
      </c>
      <c r="S8" s="48" t="s">
        <v>2</v>
      </c>
    </row>
    <row r="9" spans="1:21" ht="15.75" thickTop="1">
      <c r="A9" s="6" t="s">
        <v>13</v>
      </c>
      <c r="C9" s="3">
        <v>8023</v>
      </c>
      <c r="D9" s="3"/>
      <c r="H9" s="3"/>
      <c r="I9" s="3">
        <f>SUM(H3:H8)</f>
        <v>84571</v>
      </c>
      <c r="P9"/>
    </row>
    <row r="10" spans="1:21">
      <c r="A10" t="s">
        <v>14</v>
      </c>
      <c r="C10" s="3">
        <v>2065</v>
      </c>
      <c r="D10" s="3"/>
      <c r="K10" t="s">
        <v>5</v>
      </c>
      <c r="M10" s="3">
        <v>32774</v>
      </c>
      <c r="N10" s="3"/>
      <c r="P10" t="s">
        <v>56</v>
      </c>
      <c r="R10" s="3">
        <v>13782</v>
      </c>
      <c r="S10" s="3"/>
    </row>
    <row r="11" spans="1:21" ht="30.75" thickBot="1">
      <c r="A11" t="s">
        <v>16</v>
      </c>
      <c r="C11" s="3">
        <v>7688</v>
      </c>
      <c r="D11" s="3"/>
      <c r="F11" s="28" t="s">
        <v>46</v>
      </c>
      <c r="G11" s="28"/>
      <c r="H11" s="29" t="s">
        <v>1</v>
      </c>
      <c r="I11" s="30" t="s">
        <v>2</v>
      </c>
      <c r="K11" t="s">
        <v>28</v>
      </c>
      <c r="M11" s="4">
        <v>52110</v>
      </c>
      <c r="N11" s="4"/>
      <c r="P11" t="s">
        <v>57</v>
      </c>
      <c r="R11" s="3">
        <v>1833</v>
      </c>
      <c r="S11" s="3"/>
    </row>
    <row r="12" spans="1:21" ht="15.75" thickTop="1">
      <c r="A12" t="s">
        <v>18</v>
      </c>
      <c r="C12" s="3">
        <v>16356</v>
      </c>
      <c r="D12" s="3"/>
      <c r="M12" s="3"/>
      <c r="N12" s="3">
        <f>SUM(M10:M11)</f>
        <v>84884</v>
      </c>
      <c r="P12" t="s">
        <v>58</v>
      </c>
      <c r="R12" s="3">
        <v>3265</v>
      </c>
      <c r="S12" s="3"/>
    </row>
    <row r="13" spans="1:21">
      <c r="A13" t="s">
        <v>20</v>
      </c>
      <c r="C13" s="3">
        <v>44545</v>
      </c>
      <c r="D13" s="3"/>
      <c r="F13" t="s">
        <v>47</v>
      </c>
      <c r="H13" s="3">
        <v>56087</v>
      </c>
      <c r="I13" s="3"/>
      <c r="P13" t="s">
        <v>59</v>
      </c>
      <c r="R13" s="3">
        <v>6601</v>
      </c>
      <c r="S13" s="3"/>
    </row>
    <row r="14" spans="1:21" ht="30.75" thickBot="1">
      <c r="A14" t="s">
        <v>22</v>
      </c>
      <c r="C14" s="4">
        <v>3523</v>
      </c>
      <c r="D14" s="4"/>
      <c r="F14" t="s">
        <v>28</v>
      </c>
      <c r="H14" s="4">
        <v>27282</v>
      </c>
      <c r="I14" s="4"/>
      <c r="K14" s="40" t="s">
        <v>49</v>
      </c>
      <c r="L14" s="40"/>
      <c r="M14" s="41" t="s">
        <v>1</v>
      </c>
      <c r="N14" s="42" t="s">
        <v>2</v>
      </c>
      <c r="P14" t="s">
        <v>60</v>
      </c>
      <c r="R14" s="3">
        <v>8494</v>
      </c>
      <c r="S14" s="3"/>
    </row>
    <row r="15" spans="1:21" ht="15.75" thickTop="1">
      <c r="C15" s="3"/>
      <c r="D15" s="3">
        <f>SUM(C9:C14)</f>
        <v>82200</v>
      </c>
      <c r="H15" s="3"/>
      <c r="I15" s="3">
        <f>SUM(H13:H14)</f>
        <v>83369</v>
      </c>
      <c r="K15" s="6" t="s">
        <v>5</v>
      </c>
      <c r="M15" s="3">
        <v>8518</v>
      </c>
      <c r="N15" s="3"/>
      <c r="P15" t="s">
        <v>61</v>
      </c>
      <c r="R15" s="3">
        <v>11317</v>
      </c>
      <c r="S15" s="3"/>
    </row>
    <row r="16" spans="1:21">
      <c r="K16" s="6" t="s">
        <v>20</v>
      </c>
      <c r="M16" s="3">
        <v>12391</v>
      </c>
      <c r="N16" s="3"/>
      <c r="P16" t="s">
        <v>62</v>
      </c>
      <c r="R16" s="3">
        <v>3401</v>
      </c>
      <c r="S16" s="3"/>
    </row>
    <row r="17" spans="1:19" ht="30">
      <c r="A17" s="22" t="s">
        <v>25</v>
      </c>
      <c r="B17" s="22"/>
      <c r="C17" s="23" t="s">
        <v>1</v>
      </c>
      <c r="D17" s="24" t="s">
        <v>2</v>
      </c>
      <c r="F17" s="31" t="s">
        <v>48</v>
      </c>
      <c r="G17" s="31"/>
      <c r="H17" s="32" t="s">
        <v>1</v>
      </c>
      <c r="I17" s="33" t="s">
        <v>2</v>
      </c>
      <c r="K17" s="6" t="s">
        <v>52</v>
      </c>
      <c r="M17" s="3">
        <v>18141</v>
      </c>
      <c r="N17" s="3"/>
      <c r="P17" t="s">
        <v>63</v>
      </c>
      <c r="R17" s="3">
        <v>2775</v>
      </c>
      <c r="S17" s="3"/>
    </row>
    <row r="18" spans="1:19" ht="15.75" thickBot="1">
      <c r="K18" s="6" t="s">
        <v>53</v>
      </c>
      <c r="M18" s="4">
        <v>44711</v>
      </c>
      <c r="N18" s="4"/>
      <c r="P18" t="s">
        <v>64</v>
      </c>
      <c r="R18" s="3">
        <v>29054</v>
      </c>
      <c r="S18" s="3"/>
    </row>
    <row r="19" spans="1:19" ht="16.5" thickTop="1" thickBot="1">
      <c r="A19" t="s">
        <v>5</v>
      </c>
      <c r="C19" s="3">
        <f>64885+14921</f>
        <v>79806</v>
      </c>
      <c r="D19" s="3"/>
      <c r="F19" t="s">
        <v>5</v>
      </c>
      <c r="H19" s="4">
        <v>85489</v>
      </c>
      <c r="I19" s="4"/>
      <c r="M19" s="3"/>
      <c r="N19" s="3">
        <f>SUM(M15:M18)</f>
        <v>83761</v>
      </c>
      <c r="P19" t="s">
        <v>65</v>
      </c>
      <c r="R19" s="4">
        <v>3005</v>
      </c>
      <c r="S19" s="4"/>
    </row>
    <row r="20" spans="1:19" ht="16.5" thickTop="1" thickBot="1">
      <c r="A20" t="s">
        <v>28</v>
      </c>
      <c r="C20" s="4">
        <v>5951</v>
      </c>
      <c r="D20" s="4"/>
      <c r="H20" s="3"/>
      <c r="I20" s="3">
        <v>85489</v>
      </c>
      <c r="P20"/>
      <c r="R20" s="3"/>
      <c r="S20" s="3">
        <f>SUM(R10:R19)</f>
        <v>83527</v>
      </c>
    </row>
    <row r="21" spans="1:19" ht="15.75" thickTop="1">
      <c r="C21" s="3"/>
      <c r="D21" s="3">
        <f>SUM(C19:C20)</f>
        <v>85757</v>
      </c>
    </row>
    <row r="22" spans="1:19">
      <c r="A22" s="15" t="s">
        <v>69</v>
      </c>
    </row>
    <row r="23" spans="1:19">
      <c r="A23" s="15" t="s">
        <v>66</v>
      </c>
    </row>
  </sheetData>
  <pageMargins left="0.7" right="0.7" top="0.75" bottom="0.75" header="0.3" footer="0.3"/>
  <pageSetup scale="66" orientation="landscape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/>
  </sheetViews>
  <sheetFormatPr defaultRowHeight="15"/>
  <cols>
    <col min="1" max="1" width="40.5703125" bestFit="1" customWidth="1"/>
    <col min="2" max="2" width="8.42578125" bestFit="1" customWidth="1"/>
  </cols>
  <sheetData>
    <row r="1" spans="1:2">
      <c r="A1" s="1" t="s">
        <v>3</v>
      </c>
    </row>
    <row r="2" spans="1:2">
      <c r="A2" t="s">
        <v>4</v>
      </c>
      <c r="B2" s="2">
        <v>919034</v>
      </c>
    </row>
    <row r="3" spans="1:2">
      <c r="A3" t="s">
        <v>6</v>
      </c>
      <c r="B3" t="s">
        <v>67</v>
      </c>
    </row>
    <row r="4" spans="1:2">
      <c r="A4" t="s">
        <v>8</v>
      </c>
      <c r="B4" t="s">
        <v>68</v>
      </c>
    </row>
    <row r="5" spans="1:2">
      <c r="A5" t="s">
        <v>9</v>
      </c>
      <c r="B5" s="5">
        <f>DistrictPopTotals!D21/B2</f>
        <v>9.331210814833836E-2</v>
      </c>
    </row>
    <row r="6" spans="1:2">
      <c r="A6" t="s">
        <v>10</v>
      </c>
      <c r="B6" s="5">
        <f>DistrictPopTotals!S6/B2</f>
        <v>8.7750834027903207E-2</v>
      </c>
    </row>
    <row r="7" spans="1:2">
      <c r="A7" t="s">
        <v>12</v>
      </c>
      <c r="B7" s="5">
        <f>B5-B6</f>
        <v>5.5612741204351529E-3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workbookViewId="0">
      <selection activeCell="S13" sqref="S13"/>
    </sheetView>
  </sheetViews>
  <sheetFormatPr defaultRowHeight="15"/>
  <cols>
    <col min="1" max="1" width="39.140625" bestFit="1" customWidth="1"/>
    <col min="7" max="7" width="39.140625" bestFit="1" customWidth="1"/>
    <col min="13" max="13" width="39.140625" bestFit="1" customWidth="1"/>
    <col min="19" max="19" width="39.140625" bestFit="1" customWidth="1"/>
  </cols>
  <sheetData>
    <row r="1" spans="1:23">
      <c r="A1" s="1" t="s">
        <v>26</v>
      </c>
      <c r="E1" s="3"/>
      <c r="K1" s="3"/>
    </row>
    <row r="2" spans="1:23">
      <c r="E2" s="3"/>
      <c r="K2" s="3"/>
    </row>
    <row r="3" spans="1:23">
      <c r="A3" s="16" t="s">
        <v>0</v>
      </c>
      <c r="B3" s="6"/>
      <c r="C3" s="7"/>
      <c r="D3" s="8"/>
      <c r="E3" s="3"/>
      <c r="G3" s="25" t="s">
        <v>33</v>
      </c>
      <c r="K3" s="3"/>
      <c r="M3" s="34" t="s">
        <v>27</v>
      </c>
      <c r="Q3" s="3"/>
      <c r="S3" s="43" t="s">
        <v>50</v>
      </c>
      <c r="W3" s="3"/>
    </row>
    <row r="4" spans="1:23">
      <c r="A4" s="9" t="s">
        <v>29</v>
      </c>
      <c r="B4" s="10">
        <f>52270/83148</f>
        <v>0.62863809111463897</v>
      </c>
      <c r="D4" t="s">
        <v>30</v>
      </c>
      <c r="E4" s="3">
        <v>52270</v>
      </c>
      <c r="G4" s="9" t="s">
        <v>29</v>
      </c>
      <c r="H4" s="10">
        <f>79804/84571</f>
        <v>0.94363316030317723</v>
      </c>
      <c r="J4" t="s">
        <v>30</v>
      </c>
      <c r="K4" s="3">
        <v>79804</v>
      </c>
      <c r="M4" s="9" t="s">
        <v>29</v>
      </c>
      <c r="N4" s="10">
        <f>71601/81688</f>
        <v>0.87651797081578686</v>
      </c>
      <c r="P4" t="s">
        <v>30</v>
      </c>
      <c r="Q4" s="3">
        <v>71601</v>
      </c>
      <c r="S4" s="9" t="s">
        <v>29</v>
      </c>
      <c r="T4" s="10">
        <f>74825/80646</f>
        <v>0.927820350668353</v>
      </c>
      <c r="V4" t="s">
        <v>30</v>
      </c>
      <c r="W4" s="3">
        <v>74825</v>
      </c>
    </row>
    <row r="5" spans="1:23">
      <c r="A5" s="9" t="s">
        <v>31</v>
      </c>
      <c r="B5" s="10">
        <f>22487/83148</f>
        <v>0.27044547072689662</v>
      </c>
      <c r="E5" s="3">
        <v>22487</v>
      </c>
      <c r="G5" s="9" t="s">
        <v>31</v>
      </c>
      <c r="H5" s="10">
        <f>1732/84570</f>
        <v>2.0480075676954004E-2</v>
      </c>
      <c r="K5" s="3">
        <v>1732</v>
      </c>
      <c r="M5" s="9" t="s">
        <v>31</v>
      </c>
      <c r="N5" s="10">
        <f>2339/81688</f>
        <v>2.8633336597786701E-2</v>
      </c>
      <c r="Q5" s="3">
        <v>2339</v>
      </c>
      <c r="S5" s="9" t="s">
        <v>31</v>
      </c>
      <c r="T5" s="10">
        <f>1662/80646</f>
        <v>2.0608585670709025E-2</v>
      </c>
      <c r="W5" s="3">
        <v>1662</v>
      </c>
    </row>
    <row r="6" spans="1:23">
      <c r="A6" s="9" t="s">
        <v>32</v>
      </c>
      <c r="B6" s="10">
        <f>337/38148</f>
        <v>8.8340148893782111E-3</v>
      </c>
      <c r="E6" s="3">
        <v>337</v>
      </c>
      <c r="G6" s="9" t="s">
        <v>32</v>
      </c>
      <c r="H6" s="10">
        <f>243/84571</f>
        <v>2.8733253715812748E-3</v>
      </c>
      <c r="K6" s="3">
        <v>243</v>
      </c>
      <c r="M6" s="9" t="s">
        <v>32</v>
      </c>
      <c r="N6" s="10">
        <f>112/81688</f>
        <v>1.3710704142591323E-3</v>
      </c>
      <c r="Q6" s="3">
        <v>112</v>
      </c>
      <c r="S6" s="9" t="s">
        <v>32</v>
      </c>
      <c r="T6" s="10">
        <f>303/80646</f>
        <v>3.7571609255263746E-3</v>
      </c>
      <c r="W6" s="3">
        <v>303</v>
      </c>
    </row>
    <row r="7" spans="1:23">
      <c r="A7" s="9" t="s">
        <v>34</v>
      </c>
      <c r="B7" s="10">
        <f>2526/83148</f>
        <v>3.0379564150671091E-2</v>
      </c>
      <c r="E7" s="3">
        <v>2526</v>
      </c>
      <c r="G7" s="9" t="s">
        <v>34</v>
      </c>
      <c r="H7" s="10">
        <f>803/84571</f>
        <v>9.4949805488879161E-3</v>
      </c>
      <c r="K7" s="3">
        <v>803</v>
      </c>
      <c r="M7" s="9" t="s">
        <v>34</v>
      </c>
      <c r="N7" s="10">
        <f>5074/81688</f>
        <v>6.2114386445989621E-2</v>
      </c>
      <c r="Q7" s="3">
        <v>5074</v>
      </c>
      <c r="S7" s="9" t="s">
        <v>34</v>
      </c>
      <c r="T7" s="10">
        <f>1164/80646</f>
        <v>1.4433449892121123E-2</v>
      </c>
      <c r="W7" s="3">
        <v>1164</v>
      </c>
    </row>
    <row r="8" spans="1:23">
      <c r="A8" s="9" t="s">
        <v>35</v>
      </c>
      <c r="B8" s="10">
        <f>24/83148</f>
        <v>2.8864193967383458E-4</v>
      </c>
      <c r="E8" s="3">
        <v>24</v>
      </c>
      <c r="G8" s="9" t="s">
        <v>35</v>
      </c>
      <c r="H8" s="10">
        <f>7/84571</f>
        <v>8.2770689716333019E-5</v>
      </c>
      <c r="K8" s="3">
        <v>7</v>
      </c>
      <c r="M8" s="9" t="s">
        <v>35</v>
      </c>
      <c r="N8" s="10">
        <f>20/81688</f>
        <v>2.4483400254627361E-4</v>
      </c>
      <c r="Q8" s="3">
        <v>20</v>
      </c>
      <c r="S8" s="9" t="s">
        <v>35</v>
      </c>
      <c r="T8" s="10">
        <f>5/80646</f>
        <v>6.1999355206705846E-5</v>
      </c>
      <c r="W8" s="3">
        <v>5</v>
      </c>
    </row>
    <row r="9" spans="1:23">
      <c r="A9" s="9" t="s">
        <v>37</v>
      </c>
      <c r="B9" s="10">
        <f>3559/83148</f>
        <v>4.2803194304132389E-2</v>
      </c>
      <c r="E9" s="3">
        <v>3559</v>
      </c>
      <c r="G9" s="9" t="s">
        <v>37</v>
      </c>
      <c r="H9" s="10">
        <f>1231/84571</f>
        <v>1.4555817005829421E-2</v>
      </c>
      <c r="K9" s="3">
        <v>1231</v>
      </c>
      <c r="M9" s="9" t="s">
        <v>37</v>
      </c>
      <c r="N9" s="10">
        <f>1459/81688</f>
        <v>1.7860640485750662E-2</v>
      </c>
      <c r="Q9" s="3">
        <v>1459</v>
      </c>
      <c r="S9" s="9" t="s">
        <v>37</v>
      </c>
      <c r="T9" s="10">
        <f>1798/80646</f>
        <v>2.2294968132331425E-2</v>
      </c>
      <c r="W9" s="3">
        <v>1798</v>
      </c>
    </row>
    <row r="10" spans="1:23" ht="15.75" thickBot="1">
      <c r="A10" s="9" t="s">
        <v>39</v>
      </c>
      <c r="B10" s="11">
        <f>1945/83148</f>
        <v>2.3392023861067014E-2</v>
      </c>
      <c r="E10" s="4">
        <f>106+1839</f>
        <v>1945</v>
      </c>
      <c r="G10" s="9" t="s">
        <v>39</v>
      </c>
      <c r="H10" s="11">
        <f>751/84571</f>
        <v>8.8801125681380148E-3</v>
      </c>
      <c r="K10" s="4">
        <f>77+674</f>
        <v>751</v>
      </c>
      <c r="M10" s="9" t="s">
        <v>39</v>
      </c>
      <c r="N10" s="11">
        <f>1083/81688</f>
        <v>1.3257761237880717E-2</v>
      </c>
      <c r="Q10" s="4">
        <f>83+1000</f>
        <v>1083</v>
      </c>
      <c r="S10" s="9" t="s">
        <v>39</v>
      </c>
      <c r="T10" s="11">
        <f>889/80646</f>
        <v>1.10234853557523E-2</v>
      </c>
      <c r="W10" s="4">
        <f>55+834</f>
        <v>889</v>
      </c>
    </row>
    <row r="11" spans="1:23" ht="15.75" thickTop="1">
      <c r="A11" s="9" t="s">
        <v>41</v>
      </c>
      <c r="B11" s="10">
        <f>SUM(B4:B10)</f>
        <v>1.0047810009864582</v>
      </c>
      <c r="E11" s="3">
        <f>SUM(E4:E10)</f>
        <v>83148</v>
      </c>
      <c r="G11" s="9" t="s">
        <v>41</v>
      </c>
      <c r="H11" s="10">
        <f>SUM(H4:H10)</f>
        <v>1.000000242164284</v>
      </c>
      <c r="K11" s="3">
        <f>SUM(K4:K10)</f>
        <v>84571</v>
      </c>
      <c r="M11" s="9" t="s">
        <v>41</v>
      </c>
      <c r="N11" s="10">
        <f>SUM(N4:N10)</f>
        <v>0.99999999999999989</v>
      </c>
      <c r="Q11" s="3">
        <f>SUM(Q4:Q10)</f>
        <v>81688</v>
      </c>
      <c r="S11" s="9" t="s">
        <v>41</v>
      </c>
      <c r="T11" s="10">
        <f>SUM(T4:T10)</f>
        <v>0.99999999999999989</v>
      </c>
      <c r="W11" s="3">
        <f>SUM(W4:W10)</f>
        <v>80646</v>
      </c>
    </row>
    <row r="12" spans="1:23">
      <c r="E12" s="3"/>
      <c r="K12" s="3"/>
      <c r="Q12" s="3"/>
      <c r="W12" s="3"/>
    </row>
    <row r="13" spans="1:23">
      <c r="A13" s="19" t="s">
        <v>11</v>
      </c>
      <c r="E13" s="3"/>
      <c r="G13" s="28" t="s">
        <v>46</v>
      </c>
      <c r="K13" s="3"/>
      <c r="M13" s="37" t="s">
        <v>44</v>
      </c>
      <c r="Q13" s="3"/>
      <c r="S13" s="43" t="s">
        <v>51</v>
      </c>
      <c r="W13" s="3"/>
    </row>
    <row r="14" spans="1:23">
      <c r="A14" s="9" t="s">
        <v>29</v>
      </c>
      <c r="B14" s="10">
        <f>78778/82200</f>
        <v>0.95836982968369833</v>
      </c>
      <c r="D14" t="s">
        <v>30</v>
      </c>
      <c r="E14" s="3">
        <v>78778</v>
      </c>
      <c r="G14" s="9" t="s">
        <v>29</v>
      </c>
      <c r="H14" s="10">
        <f>65069/83369</f>
        <v>0.78049394859000343</v>
      </c>
      <c r="J14" t="s">
        <v>30</v>
      </c>
      <c r="K14" s="3">
        <v>65069</v>
      </c>
      <c r="M14" s="9" t="s">
        <v>29</v>
      </c>
      <c r="N14" s="10">
        <f>75875/84884</f>
        <v>0.89386692427312564</v>
      </c>
      <c r="P14" t="s">
        <v>30</v>
      </c>
      <c r="Q14" s="3">
        <v>75875</v>
      </c>
      <c r="S14" s="9" t="s">
        <v>29</v>
      </c>
      <c r="T14" s="10">
        <f>77519/83527</f>
        <v>0.92807116261807554</v>
      </c>
      <c r="V14" t="s">
        <v>30</v>
      </c>
      <c r="W14" s="3">
        <v>77519</v>
      </c>
    </row>
    <row r="15" spans="1:23">
      <c r="A15" s="9" t="s">
        <v>31</v>
      </c>
      <c r="B15" s="10">
        <f>422/82200</f>
        <v>5.1338199513381996E-3</v>
      </c>
      <c r="E15" s="3">
        <v>422</v>
      </c>
      <c r="G15" s="9" t="s">
        <v>31</v>
      </c>
      <c r="H15" s="10">
        <f>8373/83369</f>
        <v>0.10043301466972136</v>
      </c>
      <c r="K15" s="3">
        <v>8373</v>
      </c>
      <c r="M15" s="9" t="s">
        <v>31</v>
      </c>
      <c r="N15" s="10">
        <f>2799/84884</f>
        <v>3.2974412138918996E-2</v>
      </c>
      <c r="Q15" s="3">
        <v>2799</v>
      </c>
      <c r="S15" s="9" t="s">
        <v>31</v>
      </c>
      <c r="T15" s="10">
        <f>1399/83527</f>
        <v>1.6749075149352904E-2</v>
      </c>
      <c r="W15" s="3">
        <v>1399</v>
      </c>
    </row>
    <row r="16" spans="1:23">
      <c r="A16" s="9" t="s">
        <v>32</v>
      </c>
      <c r="B16" s="10">
        <f>486/82200</f>
        <v>5.9124087591240874E-3</v>
      </c>
      <c r="E16" s="3">
        <v>486</v>
      </c>
      <c r="G16" s="9" t="s">
        <v>32</v>
      </c>
      <c r="H16" s="10">
        <f>167/83369</f>
        <v>2.0031426549436842E-3</v>
      </c>
      <c r="K16" s="3">
        <v>167</v>
      </c>
      <c r="M16" s="9" t="s">
        <v>32</v>
      </c>
      <c r="N16" s="10">
        <f>320/84884</f>
        <v>3.7698506196691957E-3</v>
      </c>
      <c r="Q16" s="3">
        <v>320</v>
      </c>
      <c r="S16" s="9" t="s">
        <v>32</v>
      </c>
      <c r="T16" s="10">
        <f>1877/83527</f>
        <v>2.2471775593520659E-2</v>
      </c>
      <c r="W16" s="3">
        <v>1877</v>
      </c>
    </row>
    <row r="17" spans="1:23">
      <c r="A17" s="9" t="s">
        <v>34</v>
      </c>
      <c r="B17" s="10">
        <f>333/82200</f>
        <v>4.0510948905109487E-3</v>
      </c>
      <c r="E17" s="3">
        <v>333</v>
      </c>
      <c r="G17" s="9" t="s">
        <v>34</v>
      </c>
      <c r="H17" s="10">
        <f>5661/83369</f>
        <v>6.7902937542731717E-2</v>
      </c>
      <c r="K17" s="3">
        <v>5661</v>
      </c>
      <c r="M17" s="9" t="s">
        <v>34</v>
      </c>
      <c r="N17" s="10">
        <f>934/84884</f>
        <v>1.1003251496159465E-2</v>
      </c>
      <c r="Q17" s="3">
        <v>934</v>
      </c>
      <c r="S17" s="9" t="s">
        <v>34</v>
      </c>
      <c r="T17" s="10">
        <f>591/83527</f>
        <v>7.0755564069103407E-3</v>
      </c>
      <c r="W17" s="3">
        <v>591</v>
      </c>
    </row>
    <row r="18" spans="1:23">
      <c r="A18" s="9" t="s">
        <v>35</v>
      </c>
      <c r="B18" s="10">
        <f>8/82200</f>
        <v>9.7323600973236009E-5</v>
      </c>
      <c r="E18" s="3">
        <v>8</v>
      </c>
      <c r="G18" s="9" t="s">
        <v>35</v>
      </c>
      <c r="H18" s="10">
        <f>12/83369</f>
        <v>1.4393839436721085E-4</v>
      </c>
      <c r="K18" s="3">
        <v>12</v>
      </c>
      <c r="M18" s="9" t="s">
        <v>35</v>
      </c>
      <c r="N18" s="10">
        <f>11/84884</f>
        <v>1.2958861505112861E-4</v>
      </c>
      <c r="Q18" s="3">
        <v>11</v>
      </c>
      <c r="S18" s="9" t="s">
        <v>35</v>
      </c>
      <c r="T18" s="10">
        <f>12/83527</f>
        <v>1.436661199372658E-4</v>
      </c>
      <c r="W18" s="3">
        <v>12</v>
      </c>
    </row>
    <row r="19" spans="1:23">
      <c r="A19" s="9" t="s">
        <v>37</v>
      </c>
      <c r="B19" s="10">
        <f>1488/82200</f>
        <v>1.8102189781021898E-2</v>
      </c>
      <c r="E19" s="3">
        <v>1488</v>
      </c>
      <c r="G19" s="9" t="s">
        <v>37</v>
      </c>
      <c r="H19" s="10">
        <f>2421/83369</f>
        <v>2.9039571063584787E-2</v>
      </c>
      <c r="K19" s="3">
        <v>2421</v>
      </c>
      <c r="M19" s="9" t="s">
        <v>37</v>
      </c>
      <c r="N19" s="10">
        <f>3768/84884</f>
        <v>4.4389991046604779E-2</v>
      </c>
      <c r="Q19" s="3">
        <v>3768</v>
      </c>
      <c r="S19" s="9" t="s">
        <v>37</v>
      </c>
      <c r="T19" s="10">
        <f>1457/83627</f>
        <v>1.7422602747916342E-2</v>
      </c>
      <c r="W19" s="3">
        <v>1457</v>
      </c>
    </row>
    <row r="20" spans="1:23" ht="15.75" thickBot="1">
      <c r="A20" s="9" t="s">
        <v>39</v>
      </c>
      <c r="B20" s="11">
        <f>685/82200</f>
        <v>8.3333333333333332E-3</v>
      </c>
      <c r="E20" s="4">
        <f>39+646</f>
        <v>685</v>
      </c>
      <c r="G20" s="9" t="s">
        <v>39</v>
      </c>
      <c r="H20" s="11">
        <f>1666/83369</f>
        <v>1.9983447084647769E-2</v>
      </c>
      <c r="K20" s="4">
        <f>129+1537</f>
        <v>1666</v>
      </c>
      <c r="M20" s="9" t="s">
        <v>39</v>
      </c>
      <c r="N20" s="11">
        <f>1177/84884</f>
        <v>1.3865981810470759E-2</v>
      </c>
      <c r="Q20" s="4">
        <f>73+1104</f>
        <v>1177</v>
      </c>
      <c r="S20" s="9" t="s">
        <v>39</v>
      </c>
      <c r="T20" s="11">
        <f>672/83527</f>
        <v>8.0453027164868844E-3</v>
      </c>
      <c r="W20" s="4">
        <f>61+611</f>
        <v>672</v>
      </c>
    </row>
    <row r="21" spans="1:23" ht="15.75" thickTop="1">
      <c r="A21" s="9" t="s">
        <v>41</v>
      </c>
      <c r="B21" s="10">
        <f>SUM(B14:B20)</f>
        <v>1</v>
      </c>
      <c r="E21" s="3">
        <f>SUM(E14:E20)</f>
        <v>82200</v>
      </c>
      <c r="G21" s="9" t="s">
        <v>41</v>
      </c>
      <c r="H21" s="10">
        <f>SUM(H14:H20)</f>
        <v>0.99999999999999989</v>
      </c>
      <c r="K21" s="3">
        <f>SUM(K14:K20)</f>
        <v>83369</v>
      </c>
      <c r="M21" s="9" t="s">
        <v>41</v>
      </c>
      <c r="N21" s="10">
        <f>SUM(N14:N20)</f>
        <v>0.99999999999999989</v>
      </c>
      <c r="Q21" s="3">
        <f>SUM(Q14:Q20)</f>
        <v>84884</v>
      </c>
      <c r="S21" s="9" t="s">
        <v>41</v>
      </c>
      <c r="T21" s="10">
        <f>SUM(T14:T20)</f>
        <v>0.99997914135219979</v>
      </c>
      <c r="W21" s="3">
        <f>SUM(W14:W20)</f>
        <v>83527</v>
      </c>
    </row>
    <row r="22" spans="1:23">
      <c r="E22" s="3"/>
      <c r="K22" s="3"/>
      <c r="Q22" s="3"/>
    </row>
    <row r="23" spans="1:23">
      <c r="A23" s="22" t="s">
        <v>25</v>
      </c>
      <c r="E23" s="3"/>
      <c r="G23" s="31" t="s">
        <v>48</v>
      </c>
      <c r="K23" s="3"/>
      <c r="M23" s="37" t="s">
        <v>49</v>
      </c>
      <c r="Q23" s="3"/>
    </row>
    <row r="24" spans="1:23">
      <c r="A24" s="9" t="s">
        <v>29</v>
      </c>
      <c r="B24" s="10">
        <f>19972/85787</f>
        <v>0.23280916689008824</v>
      </c>
      <c r="D24" t="s">
        <v>30</v>
      </c>
      <c r="E24" s="3">
        <v>19972</v>
      </c>
      <c r="G24" s="9" t="s">
        <v>29</v>
      </c>
      <c r="H24" s="10">
        <f>41598/85489</f>
        <v>0.48658891787247482</v>
      </c>
      <c r="J24" t="s">
        <v>30</v>
      </c>
      <c r="K24" s="3">
        <v>41598</v>
      </c>
      <c r="M24" s="9" t="s">
        <v>29</v>
      </c>
      <c r="N24" s="10">
        <f>76845/83761</f>
        <v>0.91743174030873553</v>
      </c>
      <c r="P24" t="s">
        <v>30</v>
      </c>
      <c r="Q24" s="3">
        <v>76845</v>
      </c>
    </row>
    <row r="25" spans="1:23">
      <c r="A25" s="9" t="s">
        <v>31</v>
      </c>
      <c r="B25" s="10">
        <f>58882/85757</f>
        <v>0.68661450377228683</v>
      </c>
      <c r="E25" s="3">
        <v>58882</v>
      </c>
      <c r="G25" s="9" t="s">
        <v>31</v>
      </c>
      <c r="H25" s="10">
        <f>17440/85489</f>
        <v>0.20400285416837255</v>
      </c>
      <c r="K25" s="3">
        <v>17440</v>
      </c>
      <c r="M25" s="9" t="s">
        <v>31</v>
      </c>
      <c r="N25" s="10">
        <f>2381/83761</f>
        <v>2.8426117166700494E-2</v>
      </c>
      <c r="Q25" s="3">
        <v>2381</v>
      </c>
    </row>
    <row r="26" spans="1:23">
      <c r="A26" s="9" t="s">
        <v>32</v>
      </c>
      <c r="B26" s="10">
        <f>277/85757</f>
        <v>3.2300570215842437E-3</v>
      </c>
      <c r="E26" s="3">
        <v>277</v>
      </c>
      <c r="G26" s="9" t="s">
        <v>32</v>
      </c>
      <c r="H26" s="10">
        <f>870/85489</f>
        <v>1.0176747885692896E-2</v>
      </c>
      <c r="K26" s="3">
        <v>870</v>
      </c>
      <c r="M26" s="9" t="s">
        <v>32</v>
      </c>
      <c r="N26" s="10">
        <f>207/83761</f>
        <v>2.4713172001289384E-3</v>
      </c>
      <c r="Q26" s="3">
        <v>207</v>
      </c>
    </row>
    <row r="27" spans="1:23">
      <c r="A27" s="9" t="s">
        <v>34</v>
      </c>
      <c r="B27" s="10">
        <f>1589/85757</f>
        <v>1.8529099665333441E-2</v>
      </c>
      <c r="E27" s="3">
        <v>1589</v>
      </c>
      <c r="G27" s="9" t="s">
        <v>34</v>
      </c>
      <c r="H27" s="10">
        <f>4422/85489</f>
        <v>5.1725953046590792E-2</v>
      </c>
      <c r="K27" s="3">
        <v>4422</v>
      </c>
      <c r="M27" s="9" t="s">
        <v>34</v>
      </c>
      <c r="N27" s="10">
        <f>524/83761</f>
        <v>6.2558947481524815E-3</v>
      </c>
      <c r="Q27" s="3">
        <v>524</v>
      </c>
    </row>
    <row r="28" spans="1:23">
      <c r="A28" s="9" t="s">
        <v>35</v>
      </c>
      <c r="B28" s="10">
        <f>16/85757</f>
        <v>1.8657369077742925E-4</v>
      </c>
      <c r="E28" s="3">
        <v>16</v>
      </c>
      <c r="G28" s="9" t="s">
        <v>35</v>
      </c>
      <c r="H28" s="10">
        <f>36/85489</f>
        <v>4.2110680906315434E-4</v>
      </c>
      <c r="K28" s="3">
        <v>36</v>
      </c>
      <c r="M28" s="9" t="s">
        <v>35</v>
      </c>
      <c r="N28" s="10">
        <f>14/83761</f>
        <v>1.6714222609567699E-4</v>
      </c>
      <c r="Q28" s="3">
        <v>14</v>
      </c>
    </row>
    <row r="29" spans="1:23">
      <c r="A29" s="9" t="s">
        <v>37</v>
      </c>
      <c r="B29" s="10">
        <f>3228/85757</f>
        <v>3.764124211434635E-2</v>
      </c>
      <c r="E29" s="3">
        <v>3228</v>
      </c>
      <c r="G29" s="9" t="s">
        <v>37</v>
      </c>
      <c r="H29" s="10">
        <f>18579/85489</f>
        <v>0.21732620571067623</v>
      </c>
      <c r="K29" s="3">
        <v>18579</v>
      </c>
      <c r="M29" s="9" t="s">
        <v>37</v>
      </c>
      <c r="N29" s="10">
        <f>2743/83761</f>
        <v>3.2747937584317287E-2</v>
      </c>
      <c r="Q29" s="3">
        <v>2743</v>
      </c>
    </row>
    <row r="30" spans="1:23" ht="15.75" thickBot="1">
      <c r="A30" s="9" t="s">
        <v>39</v>
      </c>
      <c r="B30" s="11">
        <f>1793/85757</f>
        <v>2.0907914222745665E-2</v>
      </c>
      <c r="E30" s="4">
        <f>103+1690</f>
        <v>1793</v>
      </c>
      <c r="G30" s="9" t="s">
        <v>39</v>
      </c>
      <c r="H30" s="11">
        <f>2544/85489</f>
        <v>2.9758214507129573E-2</v>
      </c>
      <c r="K30" s="4">
        <f>238+2306</f>
        <v>2544</v>
      </c>
      <c r="M30" s="9" t="s">
        <v>39</v>
      </c>
      <c r="N30" s="11">
        <f>1047/83761</f>
        <v>1.2499850765869557E-2</v>
      </c>
      <c r="Q30" s="4">
        <f>59+988</f>
        <v>1047</v>
      </c>
    </row>
    <row r="31" spans="1:23" ht="15.75" thickTop="1">
      <c r="A31" s="9" t="s">
        <v>41</v>
      </c>
      <c r="B31" s="10">
        <f>SUM(B24:B30)</f>
        <v>0.99991855737716229</v>
      </c>
      <c r="E31" s="3">
        <f>SUM(E24:E30)</f>
        <v>85757</v>
      </c>
      <c r="G31" s="9" t="s">
        <v>41</v>
      </c>
      <c r="H31" s="10">
        <f>SUM(H24:H30)</f>
        <v>1</v>
      </c>
      <c r="K31" s="3">
        <f>SUM(K24:K30)</f>
        <v>85489</v>
      </c>
      <c r="M31" s="9" t="s">
        <v>41</v>
      </c>
      <c r="N31" s="10">
        <f>SUM(N24:N30)</f>
        <v>1</v>
      </c>
      <c r="Q31" s="3">
        <f>SUM(Q24:Q30)</f>
        <v>83761</v>
      </c>
    </row>
    <row r="32" spans="1:23">
      <c r="E32" s="3"/>
      <c r="Q32" s="3"/>
    </row>
    <row r="52" spans="11:11">
      <c r="K52" s="3"/>
    </row>
    <row r="53" spans="11:11">
      <c r="K53" s="3"/>
    </row>
    <row r="54" spans="11:11">
      <c r="K54" s="3"/>
    </row>
    <row r="55" spans="11:11">
      <c r="K55" s="3"/>
    </row>
    <row r="56" spans="11:11">
      <c r="K56" s="3"/>
    </row>
    <row r="57" spans="11:11">
      <c r="K57" s="3"/>
    </row>
    <row r="58" spans="11:11">
      <c r="K58" s="3"/>
    </row>
    <row r="59" spans="11:11">
      <c r="K59" s="3"/>
    </row>
    <row r="60" spans="11:11">
      <c r="K60" s="3"/>
    </row>
    <row r="61" spans="11:11">
      <c r="K6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DistrictPopTotals</vt:lpstr>
      <vt:lpstr>DistrictPopStatisticts</vt:lpstr>
      <vt:lpstr>RaceDistributions</vt:lpstr>
    </vt:vector>
  </TitlesOfParts>
  <Company>Mueller Services,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Cassens</dc:creator>
  <cp:lastModifiedBy>Ryan Cassens</cp:lastModifiedBy>
  <cp:lastPrinted>2011-04-25T14:23:23Z</cp:lastPrinted>
  <dcterms:created xsi:type="dcterms:W3CDTF">2011-04-25T13:57:26Z</dcterms:created>
  <dcterms:modified xsi:type="dcterms:W3CDTF">2011-05-06T14:47:21Z</dcterms:modified>
</cp:coreProperties>
</file>